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Users\kansv\Desktop\Увеличение стоимости\Приложения\"/>
    </mc:Choice>
  </mc:AlternateContent>
  <bookViews>
    <workbookView xWindow="0" yWindow="0" windowWidth="38400" windowHeight="17700"/>
  </bookViews>
  <sheets>
    <sheet name="ПРИЛОЖЕНИЕ 5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D48" i="1" s="1"/>
  <c r="B44" i="1"/>
  <c r="I40" i="1"/>
  <c r="D40" i="1"/>
  <c r="I39" i="1"/>
  <c r="D39" i="1"/>
  <c r="F38" i="1"/>
  <c r="D38" i="1" s="1"/>
  <c r="I37" i="1"/>
  <c r="D37" i="1"/>
  <c r="F36" i="1"/>
  <c r="I36" i="1" s="1"/>
  <c r="D36" i="1"/>
  <c r="I35" i="1"/>
  <c r="D35" i="1"/>
  <c r="I34" i="1"/>
  <c r="D34" i="1"/>
  <c r="I33" i="1"/>
  <c r="D33" i="1"/>
  <c r="I30" i="1"/>
  <c r="D30" i="1"/>
  <c r="D29" i="1"/>
  <c r="I29" i="1" s="1"/>
  <c r="D28" i="1"/>
  <c r="D31" i="1" s="1"/>
  <c r="I23" i="1"/>
  <c r="D23" i="1"/>
  <c r="D22" i="1"/>
  <c r="I22" i="1" s="1"/>
  <c r="D21" i="1"/>
  <c r="D24" i="1" s="1"/>
  <c r="D25" i="1" l="1"/>
  <c r="D26" i="1" s="1"/>
  <c r="D42" i="1"/>
  <c r="F28" i="1"/>
  <c r="I28" i="1" s="1"/>
  <c r="I31" i="1" s="1"/>
  <c r="F21" i="1"/>
  <c r="I21" i="1" s="1"/>
  <c r="I24" i="1" s="1"/>
  <c r="I38" i="1"/>
  <c r="I42" i="1" s="1"/>
  <c r="D27" i="1" l="1"/>
  <c r="D43" i="1" s="1"/>
  <c r="D44" i="1" s="1"/>
  <c r="I25" i="1"/>
  <c r="I26" i="1"/>
  <c r="I27" i="1" s="1"/>
  <c r="I43" i="1" s="1"/>
  <c r="I44" i="1" s="1"/>
  <c r="I45" i="1" s="1"/>
  <c r="I47" i="1" l="1"/>
  <c r="I48" i="1" s="1"/>
</calcChain>
</file>

<file path=xl/sharedStrings.xml><?xml version="1.0" encoding="utf-8"?>
<sst xmlns="http://schemas.openxmlformats.org/spreadsheetml/2006/main" count="70" uniqueCount="70">
  <si>
    <t>УТВЕРЖДАЮ:</t>
  </si>
  <si>
    <t>Заказчик____________________</t>
  </si>
  <si>
    <t>"______"_________________2021 год</t>
  </si>
  <si>
    <t>Наименование объекта:</t>
  </si>
  <si>
    <t>Контракт заключен 19.02.2021 года</t>
  </si>
  <si>
    <t>Цена контракта составляет __________ тыс. руб</t>
  </si>
  <si>
    <t>Сметная стоимость по положительному заключению ______________ тыс. руб</t>
  </si>
  <si>
    <t>По результатам проверки достоверности сметной стоимости № ____________ от ______________ г.</t>
  </si>
  <si>
    <t>Расчет сметной стоимости всех работ,</t>
  </si>
  <si>
    <t>предусмотренных проектной документацией, для определения коэффициента корректировки цены контракта</t>
  </si>
  <si>
    <t>Уровень цен на дату утверждения проектной документации 1 квартал 2015 г.</t>
  </si>
  <si>
    <t>Уровень цен на дату выполнения расчета 3 квартал 2021 г.</t>
  </si>
  <si>
    <t>№ п/п</t>
  </si>
  <si>
    <t>Вид работ/затрат</t>
  </si>
  <si>
    <t>Сметная стоимость по положительному заключению по результатам проверки достоверности определения сметной стоимости в уровне цен по положительному заключению, тыс. руб</t>
  </si>
  <si>
    <t>Индекс ФЕР для I ценовой зоны для уровня цен в котором утверждена сметная стоимость</t>
  </si>
  <si>
    <t>Сметная стоимость в базисном уровне цене на 01.01.2001, в тыс.руб</t>
  </si>
  <si>
    <t>Индекс ФЕР для I ценовой зоны для текущего уровня цен на дату составления Расчета</t>
  </si>
  <si>
    <t>Индекс - дефлятор на дату составления Расчета</t>
  </si>
  <si>
    <t xml:space="preserve">Пересчитанная сметная стоимость работ в уровне цен выполнения Расчета, в тыс.руб </t>
  </si>
  <si>
    <t>1</t>
  </si>
  <si>
    <t>Строительно-монтажные работы и материалы, включены в сметную документацию по расценкам</t>
  </si>
  <si>
    <t>2</t>
  </si>
  <si>
    <r>
      <t xml:space="preserve">Материалы, включенные в сметную документацию с обоснованием "прайс-лист", стоимость возросла </t>
    </r>
    <r>
      <rPr>
        <b/>
        <sz val="10"/>
        <rFont val="Times New Roman"/>
        <family val="1"/>
        <charset val="204"/>
      </rPr>
      <t>несущественно</t>
    </r>
  </si>
  <si>
    <t>3</t>
  </si>
  <si>
    <r>
      <t xml:space="preserve">Материалы, включенные в сметную документацию с обоснованием "прайс-лист", стоимость возросла </t>
    </r>
    <r>
      <rPr>
        <b/>
        <sz val="10"/>
        <rFont val="Times New Roman"/>
        <family val="1"/>
        <charset val="204"/>
      </rPr>
      <t>значительно</t>
    </r>
  </si>
  <si>
    <t>ИТОГО пп. 1-3</t>
  </si>
  <si>
    <t>4</t>
  </si>
  <si>
    <t>Временные здания и сооружения - 1,8%</t>
  </si>
  <si>
    <t>Глава 8</t>
  </si>
  <si>
    <t>5</t>
  </si>
  <si>
    <t>Производство работ в зимнее время -3%</t>
  </si>
  <si>
    <t>Глава 9</t>
  </si>
  <si>
    <t>ИТОГО СМР пп. 1-5</t>
  </si>
  <si>
    <t>6</t>
  </si>
  <si>
    <r>
      <t xml:space="preserve">Оборудование, включенное в сметную документацию </t>
    </r>
    <r>
      <rPr>
        <b/>
        <sz val="10"/>
        <rFont val="Times New Roman"/>
        <family val="1"/>
        <charset val="204"/>
      </rPr>
      <t>по расценкам</t>
    </r>
  </si>
  <si>
    <t>7</t>
  </si>
  <si>
    <r>
      <t>Оборудование, включенное в сметную документацию с обоснованием "прайс-листам", стоимость возросла</t>
    </r>
    <r>
      <rPr>
        <b/>
        <sz val="10"/>
        <rFont val="Times New Roman"/>
        <family val="1"/>
        <charset val="204"/>
      </rPr>
      <t xml:space="preserve"> несущественно</t>
    </r>
  </si>
  <si>
    <t>8</t>
  </si>
  <si>
    <r>
      <t xml:space="preserve">Оборудование, включенное в сметную документацию с обоснованием "прайс-листам", стоимость возросла </t>
    </r>
    <r>
      <rPr>
        <b/>
        <sz val="10"/>
        <rFont val="Times New Roman"/>
        <family val="1"/>
        <charset val="204"/>
      </rPr>
      <t>значительно</t>
    </r>
  </si>
  <si>
    <t>ИТОГО пп. 6-8</t>
  </si>
  <si>
    <t>Прочие работы и затраты, в том числе</t>
  </si>
  <si>
    <t>10</t>
  </si>
  <si>
    <t>Пусконаладочные работы (ПНР)</t>
  </si>
  <si>
    <t>11</t>
  </si>
  <si>
    <t>Платы за выплаты за выбросы загрязняющих веществ в период строительства</t>
  </si>
  <si>
    <t>12</t>
  </si>
  <si>
    <t>Расчет платы за за размещение отходов на полигоне ТБО в период строительства</t>
  </si>
  <si>
    <t>13</t>
  </si>
  <si>
    <t>Строительный контроль 2,14%</t>
  </si>
  <si>
    <t>14</t>
  </si>
  <si>
    <t>Плата за проведение государственной экспертизы</t>
  </si>
  <si>
    <t>15</t>
  </si>
  <si>
    <t>Авторский надзор 0,2%</t>
  </si>
  <si>
    <t>16</t>
  </si>
  <si>
    <t>Проектные работы</t>
  </si>
  <si>
    <t>3,73*1,19</t>
  </si>
  <si>
    <t>4,66*1,19</t>
  </si>
  <si>
    <t>17</t>
  </si>
  <si>
    <t>Инженерно-геологические, геодезические, гидрометеологические, экологические изыскания</t>
  </si>
  <si>
    <t>1,266*3,79</t>
  </si>
  <si>
    <t>4,73*1,266</t>
  </si>
  <si>
    <t>18</t>
  </si>
  <si>
    <t>Проведение повторной государственной экспертизы (2021)</t>
  </si>
  <si>
    <t>ИТОГО гр. 3, пп. 9-17 (графа 8, пп.9-18)</t>
  </si>
  <si>
    <t>ИТОГО по главам</t>
  </si>
  <si>
    <t>ВСЕГО ПО РАСЧЕТУ</t>
  </si>
  <si>
    <t>НДС - 18%</t>
  </si>
  <si>
    <t>НДС - 20%</t>
  </si>
  <si>
    <t>ВСЕГО С НДС: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</si>
</sst>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0"/>
    <numFmt numFmtId="165" formatCode="0.000"/>
  </numFmts>
  <fonts count="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3" fontId="4" fillId="0" borderId="7" xfId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" fontId="2" fillId="2" borderId="10" xfId="0" quotePrefix="1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4" fontId="2" fillId="3" borderId="10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/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49" fontId="2" fillId="4" borderId="10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4" fontId="2" fillId="4" borderId="10" xfId="0" applyNumberFormat="1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/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/>
    <xf numFmtId="0" fontId="4" fillId="0" borderId="10" xfId="0" applyFont="1" applyFill="1" applyBorder="1" applyAlignment="1">
      <alignment horizontal="right" vertical="center"/>
    </xf>
    <xf numFmtId="4" fontId="0" fillId="0" borderId="0" xfId="0" applyNumberFormat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se.local\kkge\&#1054;&#1073;&#1097;&#1080;&#1077;%20&#1087;&#1072;&#1087;&#1082;&#1080;\&#1054;&#1041;&#1052;&#1045;&#1053;\&#1056;&#1099;&#1073;&#1082;&#1072;&#1042;&#1057;\&#1044;&#1086;&#1082;&#1091;&#1084;&#1077;&#1085;&#1090;&#1099;%20&#1087;&#1086;%20&#1087;&#1087;%201315%20-%20&#1079;&#1085;&#1072;&#1095;&#1080;&#1090;&#1077;&#1083;&#1100;&#1085;&#1099;&#1081;%20&#1088;&#1086;&#1089;&#1090;%20&#1089;&#1090;&#1086;&#1080;&#1084;&#1086;&#1089;&#1090;&#1080;\&#1055;&#1088;&#1080;&#1083;&#1086;&#1078;&#1077;&#1085;&#1080;&#1103;%20&#1082;%20&#1089;&#1086;&#1089;&#1090;&#1072;&#1074;&#1091;%20&#1076;&#1086;&#1082;&#1091;&#1084;&#1077;&#1085;&#1090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 "/>
      <sheetName val="ПРИЛОЖЕНИЕ 3"/>
      <sheetName val="ПРИЛОЖЕНИЕ 4"/>
      <sheetName val="Лист1"/>
      <sheetName val="ПРИЛОЖЕНИЕ 5"/>
      <sheetName val="ПРИЛОЖЕНИЕ 6"/>
      <sheetName val="индекс дефлятор"/>
    </sheetNames>
    <sheetDataSet>
      <sheetData sheetId="0"/>
      <sheetData sheetId="1"/>
      <sheetData sheetId="2">
        <row r="22">
          <cell r="Q22">
            <v>43923.86</v>
          </cell>
        </row>
        <row r="29">
          <cell r="Q29">
            <v>603342</v>
          </cell>
        </row>
      </sheetData>
      <sheetData sheetId="3">
        <row r="60">
          <cell r="H60">
            <v>2291325.8199999998</v>
          </cell>
        </row>
        <row r="61">
          <cell r="H61">
            <v>128543</v>
          </cell>
        </row>
        <row r="62">
          <cell r="H62">
            <v>21963.62</v>
          </cell>
        </row>
        <row r="63">
          <cell r="H63">
            <v>34733.870000000003</v>
          </cell>
        </row>
        <row r="64">
          <cell r="H64">
            <v>2982.62</v>
          </cell>
        </row>
        <row r="65">
          <cell r="H65">
            <v>218368.14</v>
          </cell>
        </row>
      </sheetData>
      <sheetData sheetId="4"/>
      <sheetData sheetId="5"/>
      <sheetData sheetId="6">
        <row r="53">
          <cell r="G53">
            <v>10.38</v>
          </cell>
        </row>
        <row r="59">
          <cell r="G59">
            <v>0.97</v>
          </cell>
        </row>
        <row r="63">
          <cell r="C63" t="str">
            <v>Непредвиденные затраты - 2%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topLeftCell="A16" zoomScale="85" zoomScaleNormal="85" workbookViewId="0">
      <selection activeCell="F40" sqref="F40"/>
    </sheetView>
  </sheetViews>
  <sheetFormatPr defaultColWidth="9.140625" defaultRowHeight="12.75" x14ac:dyDescent="0.2"/>
  <cols>
    <col min="1" max="1" width="5.28515625" style="3" customWidth="1"/>
    <col min="2" max="2" width="23.7109375" style="3" customWidth="1"/>
    <col min="3" max="3" width="29.85546875" style="3" customWidth="1"/>
    <col min="4" max="4" width="21.7109375" style="3" customWidth="1"/>
    <col min="5" max="5" width="20.7109375" style="3" customWidth="1"/>
    <col min="6" max="7" width="19" style="3" customWidth="1"/>
    <col min="8" max="8" width="18.42578125" style="3" customWidth="1"/>
    <col min="9" max="9" width="20.28515625" style="3" customWidth="1"/>
    <col min="10" max="16384" width="9.140625" style="3"/>
  </cols>
  <sheetData>
    <row r="1" spans="1:9" x14ac:dyDescent="0.2">
      <c r="A1" s="1"/>
      <c r="B1" s="1"/>
      <c r="C1" s="1"/>
      <c r="D1" s="1"/>
      <c r="E1" s="1"/>
      <c r="F1" s="1"/>
      <c r="G1" s="1"/>
      <c r="H1" s="2" t="s">
        <v>0</v>
      </c>
      <c r="I1" s="2"/>
    </row>
    <row r="2" spans="1:9" x14ac:dyDescent="0.2">
      <c r="A2" s="1"/>
      <c r="B2" s="1"/>
      <c r="C2" s="1"/>
      <c r="D2" s="1"/>
      <c r="E2" s="1"/>
      <c r="F2" s="1"/>
      <c r="G2" s="1"/>
      <c r="H2" s="4" t="s">
        <v>1</v>
      </c>
      <c r="I2" s="4"/>
    </row>
    <row r="3" spans="1:9" x14ac:dyDescent="0.2">
      <c r="A3" s="1"/>
      <c r="B3" s="1"/>
      <c r="C3" s="1"/>
      <c r="D3" s="1"/>
      <c r="E3" s="1"/>
      <c r="F3" s="1"/>
      <c r="G3" s="1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4" t="s">
        <v>2</v>
      </c>
      <c r="I4" s="4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ht="26.25" customHeight="1" x14ac:dyDescent="0.2">
      <c r="A6" s="5" t="s">
        <v>3</v>
      </c>
      <c r="B6" s="5"/>
      <c r="C6" s="5"/>
      <c r="D6" s="6"/>
      <c r="E6" s="6"/>
      <c r="F6" s="6"/>
      <c r="G6" s="6"/>
      <c r="H6" s="6"/>
      <c r="I6" s="6"/>
    </row>
    <row r="7" spans="1:9" x14ac:dyDescent="0.2">
      <c r="A7" s="5" t="s">
        <v>4</v>
      </c>
      <c r="B7" s="5"/>
      <c r="C7" s="5"/>
      <c r="D7" s="1"/>
      <c r="E7" s="1"/>
      <c r="F7" s="1"/>
      <c r="G7" s="1"/>
      <c r="H7" s="1"/>
      <c r="I7" s="1"/>
    </row>
    <row r="8" spans="1:9" x14ac:dyDescent="0.2">
      <c r="A8" s="7" t="s">
        <v>5</v>
      </c>
      <c r="B8" s="7"/>
      <c r="C8" s="7"/>
      <c r="D8" s="1"/>
      <c r="E8" s="1"/>
      <c r="F8" s="1"/>
      <c r="G8" s="1"/>
      <c r="H8" s="1"/>
      <c r="I8" s="1"/>
    </row>
    <row r="9" spans="1:9" x14ac:dyDescent="0.2">
      <c r="A9" s="7" t="s">
        <v>6</v>
      </c>
      <c r="B9" s="7"/>
      <c r="C9" s="7"/>
      <c r="D9" s="7"/>
      <c r="E9" s="1"/>
      <c r="F9" s="1"/>
      <c r="G9" s="1"/>
      <c r="H9" s="1"/>
      <c r="I9" s="1"/>
    </row>
    <row r="10" spans="1:9" x14ac:dyDescent="0.2">
      <c r="A10" s="7" t="s">
        <v>7</v>
      </c>
      <c r="B10" s="7"/>
      <c r="C10" s="7"/>
      <c r="D10" s="7"/>
      <c r="E10" s="7"/>
      <c r="F10" s="7"/>
      <c r="G10" s="1"/>
      <c r="H10" s="1"/>
      <c r="I10" s="1"/>
    </row>
    <row r="11" spans="1:9" x14ac:dyDescent="0.2">
      <c r="A11" s="8"/>
      <c r="B11" s="8"/>
      <c r="C11" s="8"/>
      <c r="D11" s="1"/>
      <c r="E11" s="1"/>
      <c r="F11" s="1"/>
      <c r="G11" s="1"/>
      <c r="H11" s="1"/>
      <c r="I11" s="1"/>
    </row>
    <row r="12" spans="1:9" ht="15.75" x14ac:dyDescent="0.25">
      <c r="A12" s="9" t="s">
        <v>8</v>
      </c>
      <c r="B12" s="9"/>
      <c r="C12" s="9"/>
      <c r="D12" s="9"/>
      <c r="E12" s="9"/>
      <c r="F12" s="9"/>
      <c r="G12" s="9"/>
      <c r="H12" s="9"/>
      <c r="I12" s="9"/>
    </row>
    <row r="13" spans="1:9" ht="30.75" customHeight="1" x14ac:dyDescent="0.2">
      <c r="A13" s="10" t="s">
        <v>9</v>
      </c>
      <c r="B13" s="10"/>
      <c r="C13" s="10"/>
      <c r="D13" s="10"/>
      <c r="E13" s="10"/>
      <c r="F13" s="10"/>
      <c r="G13" s="10"/>
      <c r="H13" s="10"/>
      <c r="I13" s="10"/>
    </row>
    <row r="14" spans="1:9" ht="14.25" customHeight="1" x14ac:dyDescent="0.2">
      <c r="A14" s="11" t="s">
        <v>10</v>
      </c>
      <c r="B14" s="11"/>
      <c r="C14" s="11"/>
      <c r="D14" s="11"/>
      <c r="E14" s="12"/>
      <c r="F14" s="12"/>
      <c r="G14" s="12"/>
      <c r="H14" s="12"/>
      <c r="I14" s="12"/>
    </row>
    <row r="15" spans="1:9" ht="15" customHeight="1" x14ac:dyDescent="0.2">
      <c r="A15" s="11" t="s">
        <v>11</v>
      </c>
      <c r="B15" s="11"/>
      <c r="C15" s="11"/>
      <c r="D15" s="11"/>
      <c r="E15" s="12"/>
      <c r="F15" s="12"/>
      <c r="G15" s="12"/>
      <c r="H15" s="12"/>
      <c r="I15" s="12"/>
    </row>
    <row r="16" spans="1:9" ht="15.75" customHeight="1" x14ac:dyDescent="0.2"/>
    <row r="17" spans="1:9" ht="51" customHeight="1" x14ac:dyDescent="0.2">
      <c r="A17" s="13" t="s">
        <v>12</v>
      </c>
      <c r="B17" s="14" t="s">
        <v>13</v>
      </c>
      <c r="C17" s="15"/>
      <c r="D17" s="16" t="s">
        <v>14</v>
      </c>
      <c r="E17" s="13" t="s">
        <v>15</v>
      </c>
      <c r="F17" s="13" t="s">
        <v>16</v>
      </c>
      <c r="G17" s="13" t="s">
        <v>17</v>
      </c>
      <c r="H17" s="13" t="s">
        <v>18</v>
      </c>
      <c r="I17" s="13" t="s">
        <v>19</v>
      </c>
    </row>
    <row r="18" spans="1:9" ht="37.5" customHeight="1" x14ac:dyDescent="0.2">
      <c r="A18" s="17"/>
      <c r="B18" s="18"/>
      <c r="C18" s="19"/>
      <c r="D18" s="20"/>
      <c r="E18" s="17"/>
      <c r="F18" s="17"/>
      <c r="G18" s="17"/>
      <c r="H18" s="17"/>
      <c r="I18" s="17"/>
    </row>
    <row r="19" spans="1:9" ht="29.25" customHeight="1" x14ac:dyDescent="0.2">
      <c r="A19" s="21"/>
      <c r="B19" s="22"/>
      <c r="C19" s="23"/>
      <c r="D19" s="24"/>
      <c r="E19" s="21"/>
      <c r="F19" s="21"/>
      <c r="G19" s="21"/>
      <c r="H19" s="21"/>
      <c r="I19" s="21"/>
    </row>
    <row r="20" spans="1:9" x14ac:dyDescent="0.2">
      <c r="A20" s="25">
        <v>1</v>
      </c>
      <c r="B20" s="26">
        <v>2</v>
      </c>
      <c r="C20" s="27"/>
      <c r="D20" s="25">
        <v>3</v>
      </c>
      <c r="E20" s="25">
        <v>4</v>
      </c>
      <c r="F20" s="25">
        <v>5</v>
      </c>
      <c r="G20" s="25">
        <v>6</v>
      </c>
      <c r="H20" s="25">
        <v>7</v>
      </c>
      <c r="I20" s="25">
        <v>8</v>
      </c>
    </row>
    <row r="21" spans="1:9" ht="44.25" customHeight="1" x14ac:dyDescent="0.2">
      <c r="A21" s="28" t="s">
        <v>20</v>
      </c>
      <c r="B21" s="29" t="s">
        <v>21</v>
      </c>
      <c r="C21" s="30"/>
      <c r="D21" s="31">
        <f>'[1]ПРИЛОЖЕНИЕ 4'!H60/1000</f>
        <v>2291.32582</v>
      </c>
      <c r="E21" s="32">
        <v>6.73</v>
      </c>
      <c r="F21" s="32">
        <f>D21/E21</f>
        <v>340.46446062407131</v>
      </c>
      <c r="G21" s="32">
        <v>9.74</v>
      </c>
      <c r="H21" s="32"/>
      <c r="I21" s="32">
        <f>F21*G21</f>
        <v>3316.1238464784547</v>
      </c>
    </row>
    <row r="22" spans="1:9" ht="44.25" customHeight="1" x14ac:dyDescent="0.2">
      <c r="A22" s="28" t="s">
        <v>22</v>
      </c>
      <c r="B22" s="33" t="s">
        <v>23</v>
      </c>
      <c r="C22" s="34"/>
      <c r="D22" s="31">
        <f>'[1]ПРИЛОЖЕНИЕ 4'!H61/1000</f>
        <v>128.54300000000001</v>
      </c>
      <c r="E22" s="32"/>
      <c r="F22" s="32"/>
      <c r="G22" s="32"/>
      <c r="H22" s="35">
        <v>1.42</v>
      </c>
      <c r="I22" s="32">
        <f>D22*H22</f>
        <v>182.53106</v>
      </c>
    </row>
    <row r="23" spans="1:9" ht="44.25" customHeight="1" x14ac:dyDescent="0.2">
      <c r="A23" s="28" t="s">
        <v>24</v>
      </c>
      <c r="B23" s="33" t="s">
        <v>25</v>
      </c>
      <c r="C23" s="34"/>
      <c r="D23" s="31">
        <f>'[1]ПРИЛОЖЕНИЕ 4'!H62/1000</f>
        <v>21.963619999999999</v>
      </c>
      <c r="E23" s="32"/>
      <c r="F23" s="32"/>
      <c r="G23" s="32"/>
      <c r="H23" s="35"/>
      <c r="I23" s="32">
        <f>'[1]ПРИЛОЖЕНИЕ 3'!Q22/1000</f>
        <v>43.923859999999998</v>
      </c>
    </row>
    <row r="24" spans="1:9" ht="23.25" customHeight="1" x14ac:dyDescent="0.2">
      <c r="A24" s="36"/>
      <c r="B24" s="36"/>
      <c r="C24" s="37" t="s">
        <v>26</v>
      </c>
      <c r="D24" s="38">
        <f>D21+D22+D23</f>
        <v>2441.8324400000001</v>
      </c>
      <c r="E24" s="38"/>
      <c r="F24" s="38"/>
      <c r="G24" s="38"/>
      <c r="H24" s="39"/>
      <c r="I24" s="38">
        <f>I21+I22+I23</f>
        <v>3542.5787664784543</v>
      </c>
    </row>
    <row r="25" spans="1:9" ht="27" customHeight="1" x14ac:dyDescent="0.2">
      <c r="A25" s="40" t="s">
        <v>27</v>
      </c>
      <c r="B25" s="41" t="s">
        <v>28</v>
      </c>
      <c r="C25" s="42" t="s">
        <v>29</v>
      </c>
      <c r="D25" s="43">
        <f>D24*1.8%</f>
        <v>43.952983920000008</v>
      </c>
      <c r="E25" s="43"/>
      <c r="F25" s="43"/>
      <c r="G25" s="43"/>
      <c r="H25" s="44"/>
      <c r="I25" s="43">
        <f>I24*1.8%</f>
        <v>63.766417796612188</v>
      </c>
    </row>
    <row r="26" spans="1:9" ht="25.5" customHeight="1" x14ac:dyDescent="0.2">
      <c r="A26" s="40" t="s">
        <v>30</v>
      </c>
      <c r="B26" s="41" t="s">
        <v>31</v>
      </c>
      <c r="C26" s="42" t="s">
        <v>32</v>
      </c>
      <c r="D26" s="43">
        <f>(D24+D25)*3%</f>
        <v>74.573562717599998</v>
      </c>
      <c r="E26" s="43"/>
      <c r="F26" s="43"/>
      <c r="G26" s="43"/>
      <c r="H26" s="44"/>
      <c r="I26" s="43">
        <f>(I24+I25)*3%</f>
        <v>108.19035552825198</v>
      </c>
    </row>
    <row r="27" spans="1:9" ht="23.25" customHeight="1" x14ac:dyDescent="0.2">
      <c r="A27" s="36"/>
      <c r="B27" s="36"/>
      <c r="C27" s="37" t="s">
        <v>33</v>
      </c>
      <c r="D27" s="38">
        <f>D24+D25+D26</f>
        <v>2560.3589866376001</v>
      </c>
      <c r="E27" s="38"/>
      <c r="F27" s="38"/>
      <c r="G27" s="38"/>
      <c r="H27" s="39"/>
      <c r="I27" s="38">
        <f>I24+I25+I26</f>
        <v>3714.5355398033184</v>
      </c>
    </row>
    <row r="28" spans="1:9" ht="40.5" customHeight="1" x14ac:dyDescent="0.2">
      <c r="A28" s="45" t="s">
        <v>34</v>
      </c>
      <c r="B28" s="46" t="s">
        <v>35</v>
      </c>
      <c r="C28" s="47"/>
      <c r="D28" s="48">
        <f>'[1]ПРИЛОЖЕНИЕ 4'!H63/1000</f>
        <v>34.733870000000003</v>
      </c>
      <c r="E28" s="48">
        <v>3.46</v>
      </c>
      <c r="F28" s="48">
        <f>D28/E28</f>
        <v>10.038690751445088</v>
      </c>
      <c r="G28" s="48">
        <v>4.75</v>
      </c>
      <c r="H28" s="49"/>
      <c r="I28" s="48">
        <f>F28*G28</f>
        <v>47.683781069364173</v>
      </c>
    </row>
    <row r="29" spans="1:9" ht="40.5" customHeight="1" x14ac:dyDescent="0.2">
      <c r="A29" s="45" t="s">
        <v>36</v>
      </c>
      <c r="B29" s="46" t="s">
        <v>37</v>
      </c>
      <c r="C29" s="47"/>
      <c r="D29" s="48">
        <f>'[1]ПРИЛОЖЕНИЕ 4'!H64/1000</f>
        <v>2.9826199999999998</v>
      </c>
      <c r="E29" s="48"/>
      <c r="F29" s="48"/>
      <c r="G29" s="48"/>
      <c r="H29" s="49">
        <v>1.42</v>
      </c>
      <c r="I29" s="49">
        <f>D29*H29</f>
        <v>4.2353204</v>
      </c>
    </row>
    <row r="30" spans="1:9" ht="40.5" customHeight="1" x14ac:dyDescent="0.2">
      <c r="A30" s="45" t="s">
        <v>38</v>
      </c>
      <c r="B30" s="46" t="s">
        <v>39</v>
      </c>
      <c r="C30" s="47"/>
      <c r="D30" s="48">
        <f>'[1]ПРИЛОЖЕНИЕ 4'!H65/1000</f>
        <v>218.36814000000001</v>
      </c>
      <c r="E30" s="48"/>
      <c r="F30" s="48"/>
      <c r="G30" s="48"/>
      <c r="H30" s="48"/>
      <c r="I30" s="48">
        <f>'[1]ПРИЛОЖЕНИЕ 3'!Q29/1000</f>
        <v>603.34199999999998</v>
      </c>
    </row>
    <row r="31" spans="1:9" ht="21" customHeight="1" x14ac:dyDescent="0.2">
      <c r="A31" s="40"/>
      <c r="B31" s="50"/>
      <c r="C31" s="37" t="s">
        <v>40</v>
      </c>
      <c r="D31" s="38">
        <f>D28+D29+D30</f>
        <v>256.08463</v>
      </c>
      <c r="E31" s="38"/>
      <c r="F31" s="38"/>
      <c r="G31" s="38"/>
      <c r="H31" s="38"/>
      <c r="I31" s="38">
        <f>I28+I29+I30</f>
        <v>655.26110146936412</v>
      </c>
    </row>
    <row r="32" spans="1:9" ht="22.5" customHeight="1" x14ac:dyDescent="0.2">
      <c r="A32" s="51">
        <v>9</v>
      </c>
      <c r="B32" s="52" t="s">
        <v>41</v>
      </c>
      <c r="C32" s="53"/>
      <c r="D32" s="38"/>
      <c r="E32" s="54"/>
      <c r="F32" s="55"/>
      <c r="G32" s="54"/>
      <c r="H32" s="56"/>
      <c r="I32" s="38"/>
    </row>
    <row r="33" spans="1:9" ht="22.5" customHeight="1" x14ac:dyDescent="0.2">
      <c r="A33" s="40" t="s">
        <v>42</v>
      </c>
      <c r="B33" s="57" t="s">
        <v>43</v>
      </c>
      <c r="C33" s="58"/>
      <c r="D33" s="43">
        <f>E33*F33</f>
        <v>402.85680000000002</v>
      </c>
      <c r="E33" s="59">
        <v>13.74</v>
      </c>
      <c r="F33" s="43">
        <v>29.32</v>
      </c>
      <c r="G33" s="59">
        <v>25.58</v>
      </c>
      <c r="H33" s="51"/>
      <c r="I33" s="59">
        <f>F33*G33</f>
        <v>750.00559999999996</v>
      </c>
    </row>
    <row r="34" spans="1:9" ht="22.5" customHeight="1" x14ac:dyDescent="0.2">
      <c r="A34" s="40" t="s">
        <v>44</v>
      </c>
      <c r="B34" s="52" t="s">
        <v>45</v>
      </c>
      <c r="C34" s="53"/>
      <c r="D34" s="43">
        <f t="shared" ref="D34:D38" si="0">E34*F34</f>
        <v>9.0800000000000006E-2</v>
      </c>
      <c r="E34" s="59">
        <v>9.08</v>
      </c>
      <c r="F34" s="43">
        <v>0.01</v>
      </c>
      <c r="G34" s="59">
        <v>12.58</v>
      </c>
      <c r="H34" s="60"/>
      <c r="I34" s="59">
        <f t="shared" ref="I34:I38" si="1">F34*G34</f>
        <v>0.1258</v>
      </c>
    </row>
    <row r="35" spans="1:9" ht="22.5" customHeight="1" x14ac:dyDescent="0.2">
      <c r="A35" s="40" t="s">
        <v>46</v>
      </c>
      <c r="B35" s="52" t="s">
        <v>47</v>
      </c>
      <c r="C35" s="53"/>
      <c r="D35" s="43">
        <f t="shared" si="0"/>
        <v>10.5328</v>
      </c>
      <c r="E35" s="59">
        <v>9.08</v>
      </c>
      <c r="F35" s="43">
        <v>1.1599999999999999</v>
      </c>
      <c r="G35" s="59">
        <v>12.58</v>
      </c>
      <c r="H35" s="60"/>
      <c r="I35" s="59">
        <f t="shared" si="1"/>
        <v>14.592799999999999</v>
      </c>
    </row>
    <row r="36" spans="1:9" ht="22.5" customHeight="1" x14ac:dyDescent="0.2">
      <c r="A36" s="40" t="s">
        <v>48</v>
      </c>
      <c r="B36" s="52" t="s">
        <v>49</v>
      </c>
      <c r="C36" s="53"/>
      <c r="D36" s="43">
        <f t="shared" si="0"/>
        <v>94.250400000000013</v>
      </c>
      <c r="E36" s="59">
        <v>9.08</v>
      </c>
      <c r="F36" s="43">
        <f>'[1]ПРИЛОЖЕНИЕ 6'!G53</f>
        <v>10.38</v>
      </c>
      <c r="G36" s="59">
        <v>12.58</v>
      </c>
      <c r="H36" s="60"/>
      <c r="I36" s="59">
        <f t="shared" si="1"/>
        <v>130.5804</v>
      </c>
    </row>
    <row r="37" spans="1:9" ht="22.5" customHeight="1" x14ac:dyDescent="0.2">
      <c r="A37" s="40" t="s">
        <v>50</v>
      </c>
      <c r="B37" s="52" t="s">
        <v>51</v>
      </c>
      <c r="C37" s="53"/>
      <c r="D37" s="43">
        <f t="shared" si="0"/>
        <v>775.96480000000008</v>
      </c>
      <c r="E37" s="59">
        <v>4.16</v>
      </c>
      <c r="F37" s="43">
        <v>186.53</v>
      </c>
      <c r="G37" s="59">
        <v>5.71</v>
      </c>
      <c r="H37" s="60"/>
      <c r="I37" s="59">
        <f t="shared" si="1"/>
        <v>1065.0862999999999</v>
      </c>
    </row>
    <row r="38" spans="1:9" ht="22.5" customHeight="1" x14ac:dyDescent="0.2">
      <c r="A38" s="40" t="s">
        <v>52</v>
      </c>
      <c r="B38" s="52" t="s">
        <v>53</v>
      </c>
      <c r="C38" s="53"/>
      <c r="D38" s="43">
        <f t="shared" si="0"/>
        <v>3.6181000000000001</v>
      </c>
      <c r="E38" s="59">
        <v>3.73</v>
      </c>
      <c r="F38" s="43">
        <f>'[1]ПРИЛОЖЕНИЕ 6'!G59</f>
        <v>0.97</v>
      </c>
      <c r="G38" s="59">
        <v>4.66</v>
      </c>
      <c r="H38" s="51"/>
      <c r="I38" s="59">
        <f t="shared" si="1"/>
        <v>4.5202</v>
      </c>
    </row>
    <row r="39" spans="1:9" ht="22.5" customHeight="1" x14ac:dyDescent="0.2">
      <c r="A39" s="40" t="s">
        <v>54</v>
      </c>
      <c r="B39" s="52" t="s">
        <v>55</v>
      </c>
      <c r="C39" s="53"/>
      <c r="D39" s="43">
        <f>516.34*3.73*1.19</f>
        <v>2291.8783579999999</v>
      </c>
      <c r="E39" s="59" t="s">
        <v>56</v>
      </c>
      <c r="F39" s="43">
        <v>516.34</v>
      </c>
      <c r="G39" s="59" t="s">
        <v>57</v>
      </c>
      <c r="H39" s="51"/>
      <c r="I39" s="59">
        <f>F39*4.66*1.19</f>
        <v>2863.3118359999999</v>
      </c>
    </row>
    <row r="40" spans="1:9" ht="69.75" customHeight="1" x14ac:dyDescent="0.2">
      <c r="A40" s="40" t="s">
        <v>58</v>
      </c>
      <c r="B40" s="52" t="s">
        <v>59</v>
      </c>
      <c r="C40" s="53"/>
      <c r="D40" s="43">
        <f>140.58*1.266*3.79</f>
        <v>674.52252120000014</v>
      </c>
      <c r="E40" s="59" t="s">
        <v>60</v>
      </c>
      <c r="F40" s="44">
        <v>140.58000000000001</v>
      </c>
      <c r="G40" s="59" t="s">
        <v>61</v>
      </c>
      <c r="H40" s="51"/>
      <c r="I40" s="59">
        <f>F40*4.73*1.266</f>
        <v>841.81834440000011</v>
      </c>
    </row>
    <row r="41" spans="1:9" ht="33.75" customHeight="1" x14ac:dyDescent="0.2">
      <c r="A41" s="61" t="s">
        <v>62</v>
      </c>
      <c r="B41" s="62" t="s">
        <v>63</v>
      </c>
      <c r="C41" s="63"/>
      <c r="D41" s="64"/>
      <c r="E41" s="65"/>
      <c r="F41" s="66"/>
      <c r="G41" s="65"/>
      <c r="H41" s="67"/>
      <c r="I41" s="65">
        <v>99.99</v>
      </c>
    </row>
    <row r="42" spans="1:9" ht="14.25" customHeight="1" x14ac:dyDescent="0.2">
      <c r="A42" s="40"/>
      <c r="B42" s="68" t="s">
        <v>64</v>
      </c>
      <c r="C42" s="69"/>
      <c r="D42" s="38">
        <f>SUM(D33:D40)</f>
        <v>4253.7145792000001</v>
      </c>
      <c r="E42" s="59"/>
      <c r="F42" s="39"/>
      <c r="G42" s="59"/>
      <c r="H42" s="51"/>
      <c r="I42" s="38">
        <f>I33+I34+I35+I36+I37+I38+I39+I40+I41</f>
        <v>5770.0312804000005</v>
      </c>
    </row>
    <row r="43" spans="1:9" ht="14.25" customHeight="1" x14ac:dyDescent="0.2">
      <c r="A43" s="40"/>
      <c r="B43" s="68" t="s">
        <v>65</v>
      </c>
      <c r="C43" s="69"/>
      <c r="D43" s="38">
        <f>D42+D31+D27</f>
        <v>7070.1581958376009</v>
      </c>
      <c r="E43" s="59"/>
      <c r="F43" s="39"/>
      <c r="G43" s="59"/>
      <c r="H43" s="51"/>
      <c r="I43" s="38">
        <f>I42+I31+I27</f>
        <v>10139.827921672682</v>
      </c>
    </row>
    <row r="44" spans="1:9" ht="36" customHeight="1" x14ac:dyDescent="0.2">
      <c r="A44" s="40"/>
      <c r="B44" s="70" t="str">
        <f>'[1]ПРИЛОЖЕНИЕ 6'!C63</f>
        <v>Непредвиденные затраты - 2%</v>
      </c>
      <c r="C44" s="71"/>
      <c r="D44" s="38">
        <f>D43*2%</f>
        <v>141.40316391675202</v>
      </c>
      <c r="E44" s="59"/>
      <c r="F44" s="39"/>
      <c r="G44" s="59"/>
      <c r="H44" s="51"/>
      <c r="I44" s="38">
        <f>I43*2%</f>
        <v>202.79655843345364</v>
      </c>
    </row>
    <row r="45" spans="1:9" x14ac:dyDescent="0.2">
      <c r="A45" s="40"/>
      <c r="B45" s="40"/>
      <c r="C45" s="72" t="s">
        <v>66</v>
      </c>
      <c r="D45" s="73">
        <v>7209.73</v>
      </c>
      <c r="E45" s="73"/>
      <c r="F45" s="74"/>
      <c r="G45" s="38"/>
      <c r="H45" s="74"/>
      <c r="I45" s="73">
        <f>I44+I43-0.01</f>
        <v>10342.614480106136</v>
      </c>
    </row>
    <row r="46" spans="1:9" x14ac:dyDescent="0.2">
      <c r="A46" s="40"/>
      <c r="B46" s="40"/>
      <c r="C46" s="75" t="s">
        <v>67</v>
      </c>
      <c r="D46" s="73">
        <f>D45*0.18</f>
        <v>1297.7513999999999</v>
      </c>
      <c r="E46" s="73"/>
      <c r="F46" s="74"/>
      <c r="G46" s="38"/>
      <c r="H46" s="38"/>
      <c r="I46" s="73"/>
    </row>
    <row r="47" spans="1:9" x14ac:dyDescent="0.2">
      <c r="A47" s="40"/>
      <c r="B47" s="40"/>
      <c r="C47" s="75" t="s">
        <v>68</v>
      </c>
      <c r="D47" s="73"/>
      <c r="E47" s="73"/>
      <c r="F47" s="74"/>
      <c r="G47" s="38"/>
      <c r="H47" s="38"/>
      <c r="I47" s="73">
        <f>I45*0.2</f>
        <v>2068.5228960212276</v>
      </c>
    </row>
    <row r="48" spans="1:9" x14ac:dyDescent="0.2">
      <c r="A48" s="76"/>
      <c r="B48" s="76"/>
      <c r="C48" s="77" t="s">
        <v>69</v>
      </c>
      <c r="D48" s="73">
        <f>D45+D46</f>
        <v>8507.4813999999988</v>
      </c>
      <c r="E48" s="73"/>
      <c r="F48" s="74"/>
      <c r="G48" s="38"/>
      <c r="H48" s="38"/>
      <c r="I48" s="73">
        <f>I45+I46+I47</f>
        <v>12411.137376127364</v>
      </c>
    </row>
    <row r="50" spans="4:5" x14ac:dyDescent="0.2">
      <c r="D50" s="78"/>
      <c r="E50" s="78"/>
    </row>
    <row r="51" spans="4:5" x14ac:dyDescent="0.2">
      <c r="D51" s="78"/>
    </row>
  </sheetData>
  <mergeCells count="42"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2:C22"/>
    <mergeCell ref="B23:C23"/>
    <mergeCell ref="B28:C28"/>
    <mergeCell ref="B29:C29"/>
    <mergeCell ref="B30:C30"/>
    <mergeCell ref="B32:C32"/>
    <mergeCell ref="F17:F19"/>
    <mergeCell ref="G17:G19"/>
    <mergeCell ref="H17:H19"/>
    <mergeCell ref="I17:I19"/>
    <mergeCell ref="B20:C20"/>
    <mergeCell ref="B21:C21"/>
    <mergeCell ref="A14:D14"/>
    <mergeCell ref="A15:D15"/>
    <mergeCell ref="A17:A19"/>
    <mergeCell ref="B17:C19"/>
    <mergeCell ref="D17:D19"/>
    <mergeCell ref="E17:E19"/>
    <mergeCell ref="A7:C7"/>
    <mergeCell ref="A8:C8"/>
    <mergeCell ref="A9:D9"/>
    <mergeCell ref="A10:F10"/>
    <mergeCell ref="A12:I12"/>
    <mergeCell ref="A13:I13"/>
    <mergeCell ref="H1:I1"/>
    <mergeCell ref="H2:I2"/>
    <mergeCell ref="H3:I3"/>
    <mergeCell ref="H4:I4"/>
    <mergeCell ref="A6:C6"/>
    <mergeCell ref="D6:I6"/>
  </mergeCells>
  <pageMargins left="0.23622047244094491" right="0.23622047244094491" top="0.74803149606299213" bottom="0.74803149606299213" header="0.31496062992125984" footer="0.31496062992125984"/>
  <pageSetup paperSize="9" scale="31" firstPageNumber="4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Кандаурова Светлана Валерьевна</dc:creator>
  <cp:lastModifiedBy>Кандаурова Светлана Валерьевна</cp:lastModifiedBy>
  <dcterms:created xsi:type="dcterms:W3CDTF">2021-11-17T07:29:23Z</dcterms:created>
  <dcterms:modified xsi:type="dcterms:W3CDTF">2021-11-17T07:29:31Z</dcterms:modified>
</cp:coreProperties>
</file>